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1"/>
  </bookViews>
  <sheets>
    <sheet name="Sort" sheetId="7" r:id="rId1"/>
    <sheet name="Laporan" sheetId="5" r:id="rId2"/>
    <sheet name="Tabel Bantu" sheetId="2" r:id="rId3"/>
    <sheet name="Grafik" sheetId="3" r:id="rId4"/>
    <sheet name="List" sheetId="6" state="hidden" r:id="rId5"/>
  </sheets>
  <definedNames>
    <definedName name="_xlnm._FilterDatabase" localSheetId="4" hidden="1">List!$A$1:$A$14</definedName>
  </definedNames>
  <calcPr calcId="124519"/>
</workbook>
</file>

<file path=xl/calcChain.xml><?xml version="1.0" encoding="utf-8"?>
<calcChain xmlns="http://schemas.openxmlformats.org/spreadsheetml/2006/main">
  <c r="E30" i="5"/>
  <c r="E29"/>
  <c r="E28"/>
  <c r="D29"/>
  <c r="D30"/>
  <c r="D28"/>
  <c r="I22"/>
  <c r="I21"/>
  <c r="I20"/>
  <c r="I19"/>
  <c r="I18"/>
  <c r="I17"/>
  <c r="I16"/>
  <c r="I15"/>
  <c r="I14"/>
  <c r="I13"/>
  <c r="I12"/>
  <c r="I11"/>
  <c r="I10"/>
  <c r="I9"/>
  <c r="H22"/>
  <c r="H21"/>
  <c r="H20"/>
  <c r="H19"/>
  <c r="H18"/>
  <c r="H17"/>
  <c r="H16"/>
  <c r="H15"/>
  <c r="H14"/>
  <c r="H13"/>
  <c r="H12"/>
  <c r="H11"/>
  <c r="H10"/>
  <c r="H9"/>
  <c r="F22"/>
  <c r="F21"/>
  <c r="F20"/>
  <c r="F19"/>
  <c r="F18"/>
  <c r="F17"/>
  <c r="F16"/>
  <c r="F15"/>
  <c r="F14"/>
  <c r="F13"/>
  <c r="F12"/>
  <c r="F11"/>
  <c r="F10"/>
  <c r="F9"/>
  <c r="E22"/>
  <c r="E21"/>
  <c r="E20"/>
  <c r="E19"/>
  <c r="E18"/>
  <c r="E17"/>
  <c r="E16"/>
  <c r="E15"/>
  <c r="E14"/>
  <c r="E13"/>
  <c r="E12"/>
  <c r="E11"/>
  <c r="E10"/>
  <c r="E9"/>
  <c r="D10"/>
  <c r="D11"/>
  <c r="D12"/>
  <c r="D13"/>
  <c r="D14"/>
  <c r="D15"/>
  <c r="D16"/>
  <c r="D17"/>
  <c r="D18"/>
  <c r="D19"/>
  <c r="D20"/>
  <c r="D21"/>
  <c r="D22"/>
  <c r="D9"/>
  <c r="C22"/>
  <c r="C21"/>
  <c r="C20"/>
  <c r="C19"/>
  <c r="C18"/>
  <c r="C17"/>
  <c r="C16"/>
  <c r="C15"/>
  <c r="C14"/>
  <c r="C13"/>
  <c r="C12"/>
  <c r="C11"/>
  <c r="C10"/>
  <c r="C9"/>
  <c r="A65" l="1"/>
  <c r="A32" i="7"/>
  <c r="A30" i="3"/>
  <c r="A32" i="5"/>
  <c r="A65" i="7"/>
  <c r="F22"/>
  <c r="E22"/>
  <c r="D22"/>
  <c r="C22"/>
  <c r="F21"/>
  <c r="E21"/>
  <c r="D21"/>
  <c r="C21"/>
  <c r="F20"/>
  <c r="E20"/>
  <c r="D20"/>
  <c r="C19"/>
  <c r="F19"/>
  <c r="E19"/>
  <c r="D19"/>
  <c r="C18"/>
  <c r="F18"/>
  <c r="E18"/>
  <c r="D18"/>
  <c r="C16"/>
  <c r="F17"/>
  <c r="E17"/>
  <c r="D17"/>
  <c r="C20"/>
  <c r="F16"/>
  <c r="E16"/>
  <c r="D16"/>
  <c r="C17"/>
  <c r="F15"/>
  <c r="E15"/>
  <c r="D15"/>
  <c r="C13"/>
  <c r="F14"/>
  <c r="E14"/>
  <c r="D14"/>
  <c r="C15"/>
  <c r="F13"/>
  <c r="E13"/>
  <c r="D13"/>
  <c r="C12"/>
  <c r="H13" s="1"/>
  <c r="I13" s="1"/>
  <c r="F12"/>
  <c r="E12"/>
  <c r="D12"/>
  <c r="C11"/>
  <c r="H12" s="1"/>
  <c r="I12" s="1"/>
  <c r="F11"/>
  <c r="E11"/>
  <c r="D11"/>
  <c r="C14"/>
  <c r="H11" s="1"/>
  <c r="I11" s="1"/>
  <c r="F10"/>
  <c r="E10"/>
  <c r="D10"/>
  <c r="C10"/>
  <c r="H10" s="1"/>
  <c r="I10" s="1"/>
  <c r="F9"/>
  <c r="E9"/>
  <c r="D30" s="1"/>
  <c r="D9"/>
  <c r="C9"/>
  <c r="H9" s="1"/>
  <c r="I9" s="1"/>
  <c r="D29" l="1"/>
  <c r="H14"/>
  <c r="I14" s="1"/>
  <c r="H20"/>
  <c r="I20" s="1"/>
  <c r="H21"/>
  <c r="I21" s="1"/>
  <c r="H15"/>
  <c r="I15" s="1"/>
  <c r="H16"/>
  <c r="I16" s="1"/>
  <c r="H17"/>
  <c r="I17" s="1"/>
  <c r="H18"/>
  <c r="I18" s="1"/>
  <c r="H19"/>
  <c r="I19" s="1"/>
  <c r="H22"/>
  <c r="I22" s="1"/>
  <c r="D28"/>
  <c r="E30" l="1"/>
  <c r="I23"/>
  <c r="E29"/>
  <c r="E28"/>
  <c r="I23" i="5" l="1"/>
</calcChain>
</file>

<file path=xl/sharedStrings.xml><?xml version="1.0" encoding="utf-8"?>
<sst xmlns="http://schemas.openxmlformats.org/spreadsheetml/2006/main" count="191" uniqueCount="70">
  <si>
    <t>Melayani Jasa Angkutan Antara Kota Antar Propinsi ( AKAP ) Se Sulawesi</t>
  </si>
  <si>
    <t>NO</t>
  </si>
  <si>
    <t>JUMLAH PEMBAYARAN</t>
  </si>
  <si>
    <t>Kode Tiket</t>
  </si>
  <si>
    <t>LAPORAN KEBERANGKATAN BIS ANTAR KOTA ANTAR PROPINSI DI SULAWESI</t>
  </si>
  <si>
    <t>Kota Tujuan</t>
  </si>
  <si>
    <t>Jam Berangkat</t>
  </si>
  <si>
    <t>Nama Bis</t>
  </si>
  <si>
    <t>Jenis Bis</t>
  </si>
  <si>
    <t>Jumlah Penumpang</t>
  </si>
  <si>
    <t>Harga Tiket</t>
  </si>
  <si>
    <t>SH-Ex/10/03</t>
  </si>
  <si>
    <t>SH-Ex/10/01</t>
  </si>
  <si>
    <t>TS-Ex/10/04</t>
  </si>
  <si>
    <t>LS-Ex/10/04</t>
  </si>
  <si>
    <t>TS-Ex/10/05</t>
  </si>
  <si>
    <t>LS-Ek/10/07</t>
  </si>
  <si>
    <t>TS-Ek/10/07</t>
  </si>
  <si>
    <t>SH-Ek/10/06</t>
  </si>
  <si>
    <t>LS-Ex/10/03</t>
  </si>
  <si>
    <t>TS-Ex/10/02</t>
  </si>
  <si>
    <t>Rekapitulasi Penjualan Tiket</t>
  </si>
  <si>
    <t>NAMA BIS</t>
  </si>
  <si>
    <t>JUMLAH BIS</t>
  </si>
  <si>
    <t>TOTAL PENDAPATAN</t>
  </si>
  <si>
    <t>Lintas Sulawesi</t>
  </si>
  <si>
    <t>Sinar Harapan</t>
  </si>
  <si>
    <t>Trans Sulawesi</t>
  </si>
  <si>
    <t>Tabel KOTA TUJUAN, NAMA BIS, JAM BERANGKAT DAN HARGA TIKET</t>
  </si>
  <si>
    <t>KODE</t>
  </si>
  <si>
    <t>KOTA TUJUAN</t>
  </si>
  <si>
    <t>JAM BERANGKAT</t>
  </si>
  <si>
    <t>KELAS DAN HARGA TIKET</t>
  </si>
  <si>
    <t>EKSEKUTIF</t>
  </si>
  <si>
    <t>EKONOMI</t>
  </si>
  <si>
    <t>01</t>
  </si>
  <si>
    <t>02</t>
  </si>
  <si>
    <t>03</t>
  </si>
  <si>
    <t>04</t>
  </si>
  <si>
    <t>05</t>
  </si>
  <si>
    <t>06</t>
  </si>
  <si>
    <t>07</t>
  </si>
  <si>
    <t>Manado</t>
  </si>
  <si>
    <t>Luwuk</t>
  </si>
  <si>
    <t>Makassar</t>
  </si>
  <si>
    <t>Morowali</t>
  </si>
  <si>
    <t>Kendari</t>
  </si>
  <si>
    <t>Tolitoli</t>
  </si>
  <si>
    <t>Poso</t>
  </si>
  <si>
    <t>Tabel Jenis BIS</t>
  </si>
  <si>
    <t>JENIS BIS</t>
  </si>
  <si>
    <t>Ex</t>
  </si>
  <si>
    <t>Ek</t>
  </si>
  <si>
    <t>Executive</t>
  </si>
  <si>
    <t>Ekonomi</t>
  </si>
  <si>
    <t>8:30</t>
  </si>
  <si>
    <t>20:05</t>
  </si>
  <si>
    <t>8:00</t>
  </si>
  <si>
    <t>20:10</t>
  </si>
  <si>
    <t>8:15</t>
  </si>
  <si>
    <t>19:00</t>
  </si>
  <si>
    <t>9:15</t>
  </si>
  <si>
    <t>Jl. Sam Ratulangi No. 121a Palu</t>
  </si>
  <si>
    <t>PO. TRANS  SULAWESI</t>
  </si>
  <si>
    <t>Total Pendapatan</t>
  </si>
  <si>
    <t>Per. Tanggal 4 Oktober 2014</t>
  </si>
  <si>
    <t>LS-Ex/10/02</t>
  </si>
  <si>
    <t>SH-Ex/10/05</t>
  </si>
  <si>
    <t>SH-Ex/10/02</t>
  </si>
  <si>
    <t>TS-Ek/10/06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</si>
</sst>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[$Rp-421]* #,##0_);_([$Rp-421]* \(#,##0\);_([$Rp-421]* &quot;-&quot;??_);_(@_)"/>
    <numFmt numFmtId="165" formatCode="_([$Rp-421]* #,##0_);_([$Rp-421]* \(#,##0\);_([$Rp-421]* &quot;-&quot;_);_(@_)"/>
  </numFmts>
  <fonts count="17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20"/>
      <color rgb="FFFFFF0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FF00"/>
      <name val="Arial"/>
      <family val="2"/>
    </font>
    <font>
      <b/>
      <sz val="16"/>
      <color rgb="FFFFFF00"/>
      <name val="Arial"/>
      <family val="2"/>
    </font>
    <font>
      <i/>
      <sz val="16"/>
      <color rgb="FFFFFF00"/>
      <name val="Arial"/>
      <family val="2"/>
    </font>
    <font>
      <b/>
      <sz val="12"/>
      <color rgb="FF0070C0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darkGray">
        <fgColor theme="0" tint="-0.34998626667073579"/>
        <bgColor rgb="FFFFFF00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/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0" fontId="9" fillId="0" borderId="1" xfId="0" quotePrefix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quotePrefix="1" applyFont="1"/>
    <xf numFmtId="0" fontId="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Border="1"/>
    <xf numFmtId="165" fontId="9" fillId="0" borderId="3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1" fillId="3" borderId="0" xfId="0" applyFont="1" applyFill="1"/>
    <xf numFmtId="0" fontId="11" fillId="5" borderId="0" xfId="0" applyFont="1" applyFill="1" applyAlignment="1">
      <alignment horizontal="left" vertical="center"/>
    </xf>
    <xf numFmtId="0" fontId="10" fillId="5" borderId="0" xfId="0" applyFont="1" applyFill="1"/>
    <xf numFmtId="165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165" fontId="14" fillId="0" borderId="4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5" fontId="16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D7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9"/>
  <c:chart>
    <c:title>
      <c:tx>
        <c:rich>
          <a:bodyPr/>
          <a:lstStyle/>
          <a:p>
            <a:pPr algn="ctr">
              <a:defRPr/>
            </a:pPr>
            <a:r>
              <a:rPr lang="en-US">
                <a:latin typeface="Arial" pitchFamily="34" charset="0"/>
                <a:cs typeface="Arial" pitchFamily="34" charset="0"/>
              </a:rPr>
              <a:t>Rekapitulasi Pendapatan Penjualan Tiket Bis</a:t>
            </a:r>
          </a:p>
          <a:p>
            <a:pPr algn="ctr">
              <a:defRPr/>
            </a:pPr>
            <a:r>
              <a:rPr lang="en-US">
                <a:latin typeface="Arial" pitchFamily="34" charset="0"/>
                <a:cs typeface="Arial" pitchFamily="34" charset="0"/>
              </a:rPr>
              <a:t>PO. TRANS SULAWESI</a:t>
            </a:r>
          </a:p>
        </c:rich>
      </c:tx>
      <c:layout>
        <c:manualLayout>
          <c:xMode val="edge"/>
          <c:yMode val="edge"/>
          <c:x val="0.19641379310344848"/>
          <c:y val="4.30107450216800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Laporan!$E$27</c:f>
              <c:strCache>
                <c:ptCount val="1"/>
                <c:pt idx="0">
                  <c:v>TOTAL PENDAPATAN</c:v>
                </c:pt>
              </c:strCache>
            </c:strRef>
          </c:tx>
          <c:explosion val="6"/>
          <c:dPt>
            <c:idx val="0"/>
            <c:explosion val="0"/>
          </c:dPt>
          <c:dPt>
            <c:idx val="1"/>
            <c:explosion val="7"/>
          </c:dPt>
          <c:dPt>
            <c:idx val="2"/>
            <c:explosion val="3"/>
          </c:dPt>
          <c:dLbls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CatName val="1"/>
            <c:showPercent val="1"/>
          </c:dLbls>
          <c:cat>
            <c:strRef>
              <c:f>Laporan!$C$28:$C$30</c:f>
              <c:strCache>
                <c:ptCount val="3"/>
                <c:pt idx="0">
                  <c:v>Lintas Sulawesi</c:v>
                </c:pt>
                <c:pt idx="1">
                  <c:v>Sinar Harapan</c:v>
                </c:pt>
                <c:pt idx="2">
                  <c:v>Trans Sulawesi</c:v>
                </c:pt>
              </c:strCache>
            </c:strRef>
          </c:cat>
          <c:val>
            <c:numRef>
              <c:f>Laporan!$E$28:$E$30</c:f>
              <c:numCache>
                <c:formatCode>_([$Rp-421]* #,##0_);_([$Rp-421]* \(#,##0\);_([$Rp-421]* "-"_);_(@_)</c:formatCode>
                <c:ptCount val="3"/>
                <c:pt idx="0">
                  <c:v>34900000</c:v>
                </c:pt>
                <c:pt idx="1">
                  <c:v>67160000</c:v>
                </c:pt>
                <c:pt idx="2">
                  <c:v>48250000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101600</xdr:rowOff>
    </xdr:from>
    <xdr:to>
      <xdr:col>9</xdr:col>
      <xdr:colOff>0</xdr:colOff>
      <xdr:row>3</xdr:row>
      <xdr:rowOff>101604</xdr:rowOff>
    </xdr:to>
    <xdr:cxnSp macro="">
      <xdr:nvCxnSpPr>
        <xdr:cNvPr id="2" name="Straight Arrow Connector 1"/>
        <xdr:cNvCxnSpPr/>
      </xdr:nvCxnSpPr>
      <xdr:spPr>
        <a:xfrm flipV="1">
          <a:off x="0" y="825500"/>
          <a:ext cx="9658350" cy="4"/>
        </a:xfrm>
        <a:prstGeom prst="straightConnector1">
          <a:avLst/>
        </a:prstGeom>
        <a:ln w="57150" cmpd="thinThick">
          <a:solidFill>
            <a:srgbClr val="FFFF00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16809</xdr:colOff>
      <xdr:row>0</xdr:row>
      <xdr:rowOff>28574</xdr:rowOff>
    </xdr:from>
    <xdr:to>
      <xdr:col>1</xdr:col>
      <xdr:colOff>1176618</xdr:colOff>
      <xdr:row>2</xdr:row>
      <xdr:rowOff>179294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09" y="28574"/>
          <a:ext cx="1750359" cy="684120"/>
        </a:xfrm>
        <a:prstGeom prst="rect">
          <a:avLst/>
        </a:prstGeom>
        <a:ln w="28575">
          <a:solidFill>
            <a:schemeClr val="tx1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101600</xdr:rowOff>
    </xdr:from>
    <xdr:to>
      <xdr:col>9</xdr:col>
      <xdr:colOff>0</xdr:colOff>
      <xdr:row>3</xdr:row>
      <xdr:rowOff>101604</xdr:rowOff>
    </xdr:to>
    <xdr:cxnSp macro="">
      <xdr:nvCxnSpPr>
        <xdr:cNvPr id="2" name="Straight Arrow Connector 1"/>
        <xdr:cNvCxnSpPr/>
      </xdr:nvCxnSpPr>
      <xdr:spPr>
        <a:xfrm flipV="1">
          <a:off x="0" y="831850"/>
          <a:ext cx="10213975" cy="4"/>
        </a:xfrm>
        <a:prstGeom prst="straightConnector1">
          <a:avLst/>
        </a:prstGeom>
        <a:ln w="57150" cmpd="thinThick">
          <a:solidFill>
            <a:srgbClr val="FFFF00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246591</xdr:rowOff>
    </xdr:to>
    <xdr:pic>
      <xdr:nvPicPr>
        <xdr:cNvPr id="3" name="Picture 1" descr="C:\Program Files\Microsoft Office\MEDIA\CAGCAT10\j0216858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27742" cy="839258"/>
        </a:xfrm>
        <a:prstGeom prst="rect">
          <a:avLst/>
        </a:prstGeom>
        <a:solidFill>
          <a:srgbClr val="00B0F0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152401</xdr:rowOff>
    </xdr:from>
    <xdr:to>
      <xdr:col>12</xdr:col>
      <xdr:colOff>600075</xdr:colOff>
      <xdr:row>26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5"/>
  <sheetViews>
    <sheetView view="pageLayout" topLeftCell="A34" zoomScale="90" zoomScaleNormal="110" zoomScalePageLayoutView="90" workbookViewId="0">
      <selection activeCell="G38" sqref="G38"/>
    </sheetView>
  </sheetViews>
  <sheetFormatPr defaultRowHeight="15"/>
  <cols>
    <col min="1" max="1" width="8.28515625" style="1" customWidth="1"/>
    <col min="2" max="2" width="16.85546875" style="1" customWidth="1"/>
    <col min="3" max="3" width="14.28515625" style="1" customWidth="1"/>
    <col min="4" max="4" width="16" style="1" customWidth="1"/>
    <col min="5" max="5" width="21.5703125" style="1" customWidth="1"/>
    <col min="6" max="6" width="12" style="1" customWidth="1"/>
    <col min="7" max="7" width="13.85546875" style="1" customWidth="1"/>
    <col min="8" max="8" width="15.42578125" style="1" customWidth="1"/>
    <col min="9" max="9" width="16.7109375" style="1" customWidth="1"/>
    <col min="10" max="10" width="19.5703125" style="1" customWidth="1"/>
    <col min="11" max="16384" width="9.140625" style="1"/>
  </cols>
  <sheetData>
    <row r="1" spans="1:9" ht="26.25">
      <c r="B1" s="2"/>
      <c r="C1" s="63" t="s">
        <v>63</v>
      </c>
      <c r="D1" s="63"/>
      <c r="E1" s="63"/>
      <c r="F1" s="63"/>
      <c r="G1" s="63"/>
      <c r="H1" s="63"/>
      <c r="I1" s="63"/>
    </row>
    <row r="2" spans="1:9" ht="15.75">
      <c r="C2" s="5" t="s">
        <v>0</v>
      </c>
      <c r="D2" s="5"/>
      <c r="E2" s="5"/>
      <c r="F2" s="5"/>
      <c r="G2" s="5"/>
      <c r="H2" s="5"/>
      <c r="I2" s="5"/>
    </row>
    <row r="3" spans="1:9">
      <c r="C3" s="64" t="s">
        <v>62</v>
      </c>
      <c r="D3" s="64"/>
      <c r="E3" s="64"/>
      <c r="F3" s="64"/>
      <c r="G3" s="64"/>
      <c r="H3" s="64"/>
      <c r="I3" s="6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65" t="s">
        <v>4</v>
      </c>
      <c r="B5" s="65"/>
      <c r="C5" s="65"/>
      <c r="D5" s="65"/>
      <c r="E5" s="65"/>
      <c r="F5" s="65"/>
      <c r="G5" s="65"/>
      <c r="H5" s="65"/>
      <c r="I5" s="65"/>
    </row>
    <row r="6" spans="1:9">
      <c r="A6" s="66" t="s">
        <v>65</v>
      </c>
      <c r="B6" s="66"/>
      <c r="C6" s="66"/>
      <c r="D6" s="66"/>
      <c r="E6" s="66"/>
      <c r="F6" s="66"/>
      <c r="G6" s="66"/>
      <c r="H6" s="66"/>
      <c r="I6" s="66"/>
    </row>
    <row r="7" spans="1:9" ht="15.75" thickBot="1"/>
    <row r="8" spans="1:9" ht="48.75" customHeight="1" thickBot="1">
      <c r="A8" s="6" t="s">
        <v>1</v>
      </c>
      <c r="B8" s="7" t="s">
        <v>3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31" t="s">
        <v>10</v>
      </c>
      <c r="I8" s="8" t="s">
        <v>2</v>
      </c>
    </row>
    <row r="9" spans="1:9">
      <c r="A9" s="17">
        <v>1</v>
      </c>
      <c r="B9" s="18" t="s">
        <v>67</v>
      </c>
      <c r="C9" s="19" t="str">
        <f t="shared" ref="C9:C22" si="0">VLOOKUP(RIGHT(B9,2),$A$40:$B$46,2,FALSE)</f>
        <v>Kendari</v>
      </c>
      <c r="D9" s="22" t="str">
        <f t="shared" ref="D9:D22" si="1">VLOOKUP(RIGHT(B9,2),$A$40:$E$46,3,FALSE)</f>
        <v>8:15</v>
      </c>
      <c r="E9" s="20" t="str">
        <f>IF(LEFT(B9,2)="SH","Sinar Harapan",IF(LEFT(B9,2)="LS","Lintas Sulawesi",IF(LEFT(B9,2)="TS","Trans Sulawesi",0)))</f>
        <v>Sinar Harapan</v>
      </c>
      <c r="F9" s="19" t="str">
        <f>IF(MID(B9,4,2)="Ex","Executive",IF(MID(B9,4,2)="Ek","Ekonomi",0))</f>
        <v>Executive</v>
      </c>
      <c r="G9" s="17">
        <v>60</v>
      </c>
      <c r="H9" s="36">
        <f>IF(AND(MID(B9,4,2)="Ex",C9="Manado"),VLOOKUP(RIGHT(B9,2),A$40:E$46,4),IF(AND(MID(B9,4,2)="Ek",C9="Manado"),VLOOKUP(RIGHT(B9,2),A$40:E$46,5),IF(AND(MID(B9,4,2)="Ex",C9="Luwuk"),VLOOKUP(RIGHT(B9,2),A$40:E$46,4),IF(AND(MID(B9,4,2)="Ek",C9="Luwuk"),VLOOKUP(RIGHT(B9,2),A$40:E$46,5),IF(AND(MID(B9,4,2)="Ex",C9="Makassar"),VLOOKUP(RIGHT(B9,2),A$40:E$46,4),IF(AND(MID(B9,4,2)="Ek",C9="Makassar"),VLOOKUP(RIGHT(B9,2),A$40:E$46,5),IF(AND(MID(B9,4,2)="Ex",C9="Morowali"),VLOOKUP(RIGHT(B9,2),A$40:E$46,4),IF(AND(MID(B9,4,2)="Ek",C9="Morowali"),VLOOKUP(RIGHT(B9,2),A$40:E$46,5),IF(AND(MID(B9,4,2)="Ex",C9="Kendari"),VLOOKUP(RIGHT(B9,2),A$40:E$46,4),IF(AND(MID(B9,4,2)="Ek",C9="Kendari"),VLOOKUP(RIGHT(B9,2),A$40:E$46,5),IF(AND(MID(B9,4,2)="Ex",C9="Tolitoli"),VLOOKUP(RIGHT(B9,2),A$40:E$46,4),IF(AND(MID(B9,4,2)="Ek",C9="Tolitoli"),VLOOKUP(RIGHT(B9,2),A$40:E$46,5),IF(AND(MID(B9,4,2)="Ex",C9="Poso"),VLOOKUP(RIGHT(B9,2),A$40:E$46,4),IF(AND(MID(B9,4,2)="Ek",C9="Poso"),VLOOKUP(RIGHT(B9,2),A$40:E$46,5)))))))))))))))</f>
        <v>300000</v>
      </c>
      <c r="I9" s="36">
        <f>H9*G9</f>
        <v>18000000</v>
      </c>
    </row>
    <row r="10" spans="1:9">
      <c r="A10" s="21">
        <v>2</v>
      </c>
      <c r="B10" s="18" t="s">
        <v>15</v>
      </c>
      <c r="C10" s="11" t="str">
        <f t="shared" si="0"/>
        <v>Kendari</v>
      </c>
      <c r="D10" s="22" t="str">
        <f t="shared" si="1"/>
        <v>8:15</v>
      </c>
      <c r="E10" s="23" t="str">
        <f t="shared" ref="E10:E22" si="2">IF(LEFT(B10,2)="SH","Sinar Harapan",IF(LEFT(B10,2)="LS","Lintas Sulawesi",IF(LEFT(B10,2)="TS","Trans Sulawesi",0)))</f>
        <v>Trans Sulawesi</v>
      </c>
      <c r="F10" s="11" t="str">
        <f t="shared" ref="F10:F22" si="3">IF(MID(B10,4,2)="Ex","Executive",IF(MID(B10,4,2)="Ek","Ekonomi",0))</f>
        <v>Executive</v>
      </c>
      <c r="G10" s="21">
        <v>60</v>
      </c>
      <c r="H10" s="36">
        <f t="shared" ref="H10:H22" si="4">IF(AND(MID(B10,4,2)="Ex",C10="Manado"),VLOOKUP(RIGHT(B10,2),A$40:E$46,4),IF(AND(MID(B10,4,2)="Ek",C10="Manado"),VLOOKUP(RIGHT(B10,2),A$40:E$46,5),IF(AND(MID(B10,4,2)="Ex",C10="Luwuk"),VLOOKUP(RIGHT(B10,2),A$40:E$46,4),IF(AND(MID(B10,4,2)="Ek",C10="Luwuk"),VLOOKUP(RIGHT(B10,2),A$40:E$46,5),IF(AND(MID(B10,4,2)="Ex",C10="Makassar"),VLOOKUP(RIGHT(B10,2),A$40:E$46,4),IF(AND(MID(B10,4,2)="Ek",C10="Makassar"),VLOOKUP(RIGHT(B10,2),A$40:E$46,5),IF(AND(MID(B10,4,2)="Ex",C10="Morowali"),VLOOKUP(RIGHT(B10,2),A$40:E$46,4),IF(AND(MID(B10,4,2)="Ek",C10="Morowali"),VLOOKUP(RIGHT(B10,2),A$40:E$46,5),IF(AND(MID(B10,4,2)="Ex",C10="Kendari"),VLOOKUP(RIGHT(B10,2),A$40:E$46,4),IF(AND(MID(B10,4,2)="Ek",C10="Kendari"),VLOOKUP(RIGHT(B10,2),A$40:E$46,5),IF(AND(MID(B10,4,2)="Ex",C10="Tolitoli"),VLOOKUP(RIGHT(B10,2),A$40:E$46,4),IF(AND(MID(B10,4,2)="Ek",C10="Tolitoli"),VLOOKUP(RIGHT(B10,2),A$40:E$46,5),IF(AND(MID(B10,4,2)="Ex",C10="Poso"),VLOOKUP(RIGHT(B10,2),A$40:E$46,4),IF(AND(MID(B10,4,2)="Ek",C10="Poso"),VLOOKUP(RIGHT(B10,2),A$40:E$46,5)))))))))))))))</f>
        <v>300000</v>
      </c>
      <c r="I10" s="36">
        <f t="shared" ref="I10:I22" si="5">H10*G10</f>
        <v>18000000</v>
      </c>
    </row>
    <row r="11" spans="1:9">
      <c r="A11" s="21">
        <v>3</v>
      </c>
      <c r="B11" s="18" t="s">
        <v>68</v>
      </c>
      <c r="C11" s="11" t="str">
        <f t="shared" si="0"/>
        <v>Luwuk</v>
      </c>
      <c r="D11" s="22" t="str">
        <f t="shared" si="1"/>
        <v>20:05</v>
      </c>
      <c r="E11" s="23" t="str">
        <f t="shared" si="2"/>
        <v>Sinar Harapan</v>
      </c>
      <c r="F11" s="11" t="str">
        <f t="shared" si="3"/>
        <v>Executive</v>
      </c>
      <c r="G11" s="21">
        <v>40</v>
      </c>
      <c r="H11" s="36">
        <f t="shared" si="4"/>
        <v>195000</v>
      </c>
      <c r="I11" s="36">
        <f t="shared" si="5"/>
        <v>7800000</v>
      </c>
    </row>
    <row r="12" spans="1:9">
      <c r="A12" s="21">
        <v>4</v>
      </c>
      <c r="B12" s="18" t="s">
        <v>66</v>
      </c>
      <c r="C12" s="11" t="str">
        <f t="shared" si="0"/>
        <v>Luwuk</v>
      </c>
      <c r="D12" s="22" t="str">
        <f t="shared" si="1"/>
        <v>20:05</v>
      </c>
      <c r="E12" s="23" t="str">
        <f t="shared" si="2"/>
        <v>Lintas Sulawesi</v>
      </c>
      <c r="F12" s="11" t="str">
        <f>IF(MID(B12,4,2)="Ex","Executive",IF(MID(B12,4,2)="Ek","Ekonomi",0))</f>
        <v>Executive</v>
      </c>
      <c r="G12" s="21">
        <v>45</v>
      </c>
      <c r="H12" s="36">
        <f t="shared" si="4"/>
        <v>195000</v>
      </c>
      <c r="I12" s="36">
        <f t="shared" si="5"/>
        <v>8775000</v>
      </c>
    </row>
    <row r="13" spans="1:9">
      <c r="A13" s="21">
        <v>5</v>
      </c>
      <c r="B13" s="18" t="s">
        <v>20</v>
      </c>
      <c r="C13" s="11" t="str">
        <f t="shared" si="0"/>
        <v>Luwuk</v>
      </c>
      <c r="D13" s="22" t="str">
        <f t="shared" si="1"/>
        <v>20:05</v>
      </c>
      <c r="E13" s="23" t="str">
        <f t="shared" si="2"/>
        <v>Trans Sulawesi</v>
      </c>
      <c r="F13" s="11" t="str">
        <f t="shared" si="3"/>
        <v>Executive</v>
      </c>
      <c r="G13" s="21">
        <v>50</v>
      </c>
      <c r="H13" s="36">
        <f t="shared" si="4"/>
        <v>195000</v>
      </c>
      <c r="I13" s="36">
        <f t="shared" si="5"/>
        <v>9750000</v>
      </c>
    </row>
    <row r="14" spans="1:9">
      <c r="A14" s="21">
        <v>6</v>
      </c>
      <c r="B14" s="18" t="s">
        <v>11</v>
      </c>
      <c r="C14" s="11" t="str">
        <f t="shared" si="0"/>
        <v>Makassar</v>
      </c>
      <c r="D14" s="22" t="str">
        <f t="shared" si="1"/>
        <v>8:00</v>
      </c>
      <c r="E14" s="23" t="str">
        <f t="shared" si="2"/>
        <v>Sinar Harapan</v>
      </c>
      <c r="F14" s="11" t="str">
        <f t="shared" si="3"/>
        <v>Executive</v>
      </c>
      <c r="G14" s="21">
        <v>60</v>
      </c>
      <c r="H14" s="36">
        <f t="shared" si="4"/>
        <v>225000</v>
      </c>
      <c r="I14" s="36">
        <f t="shared" si="5"/>
        <v>13500000</v>
      </c>
    </row>
    <row r="15" spans="1:9">
      <c r="A15" s="21">
        <v>7</v>
      </c>
      <c r="B15" s="18" t="s">
        <v>19</v>
      </c>
      <c r="C15" s="11" t="str">
        <f t="shared" si="0"/>
        <v>Makassar</v>
      </c>
      <c r="D15" s="22" t="str">
        <f t="shared" si="1"/>
        <v>8:00</v>
      </c>
      <c r="E15" s="23" t="str">
        <f t="shared" si="2"/>
        <v>Lintas Sulawesi</v>
      </c>
      <c r="F15" s="11" t="str">
        <f t="shared" si="3"/>
        <v>Executive</v>
      </c>
      <c r="G15" s="21">
        <v>55</v>
      </c>
      <c r="H15" s="36">
        <f t="shared" si="4"/>
        <v>225000</v>
      </c>
      <c r="I15" s="36">
        <f t="shared" si="5"/>
        <v>12375000</v>
      </c>
    </row>
    <row r="16" spans="1:9">
      <c r="A16" s="21">
        <v>8</v>
      </c>
      <c r="B16" s="18" t="s">
        <v>12</v>
      </c>
      <c r="C16" s="11" t="str">
        <f t="shared" si="0"/>
        <v>Manado</v>
      </c>
      <c r="D16" s="22" t="str">
        <f t="shared" si="1"/>
        <v>8:30</v>
      </c>
      <c r="E16" s="23" t="str">
        <f t="shared" si="2"/>
        <v>Sinar Harapan</v>
      </c>
      <c r="F16" s="11" t="str">
        <f t="shared" si="3"/>
        <v>Executive</v>
      </c>
      <c r="G16" s="21">
        <v>60</v>
      </c>
      <c r="H16" s="36">
        <f t="shared" si="4"/>
        <v>300000</v>
      </c>
      <c r="I16" s="36">
        <f t="shared" si="5"/>
        <v>18000000</v>
      </c>
    </row>
    <row r="17" spans="1:9">
      <c r="A17" s="21">
        <v>9</v>
      </c>
      <c r="B17" s="18" t="s">
        <v>13</v>
      </c>
      <c r="C17" s="11" t="str">
        <f t="shared" si="0"/>
        <v>Morowali</v>
      </c>
      <c r="D17" s="22" t="str">
        <f t="shared" si="1"/>
        <v>20:10</v>
      </c>
      <c r="E17" s="23" t="str">
        <f t="shared" si="2"/>
        <v>Trans Sulawesi</v>
      </c>
      <c r="F17" s="11" t="str">
        <f t="shared" si="3"/>
        <v>Executive</v>
      </c>
      <c r="G17" s="21">
        <v>45</v>
      </c>
      <c r="H17" s="36">
        <f t="shared" si="4"/>
        <v>175000</v>
      </c>
      <c r="I17" s="36">
        <f t="shared" si="5"/>
        <v>7875000</v>
      </c>
    </row>
    <row r="18" spans="1:9">
      <c r="A18" s="21">
        <v>10</v>
      </c>
      <c r="B18" s="18" t="s">
        <v>14</v>
      </c>
      <c r="C18" s="11" t="str">
        <f t="shared" si="0"/>
        <v>Morowali</v>
      </c>
      <c r="D18" s="22" t="str">
        <f t="shared" si="1"/>
        <v>20:10</v>
      </c>
      <c r="E18" s="23" t="str">
        <f t="shared" si="2"/>
        <v>Lintas Sulawesi</v>
      </c>
      <c r="F18" s="11" t="str">
        <f t="shared" si="3"/>
        <v>Executive</v>
      </c>
      <c r="G18" s="21">
        <v>55</v>
      </c>
      <c r="H18" s="36">
        <f t="shared" si="4"/>
        <v>175000</v>
      </c>
      <c r="I18" s="36">
        <f t="shared" si="5"/>
        <v>9625000</v>
      </c>
    </row>
    <row r="19" spans="1:9">
      <c r="A19" s="21">
        <v>11</v>
      </c>
      <c r="B19" s="18" t="s">
        <v>16</v>
      </c>
      <c r="C19" s="11" t="str">
        <f t="shared" si="0"/>
        <v>Poso</v>
      </c>
      <c r="D19" s="22" t="str">
        <f t="shared" si="1"/>
        <v>9:15</v>
      </c>
      <c r="E19" s="23" t="str">
        <f t="shared" si="2"/>
        <v>Lintas Sulawesi</v>
      </c>
      <c r="F19" s="11" t="str">
        <f t="shared" si="3"/>
        <v>Ekonomi</v>
      </c>
      <c r="G19" s="21">
        <v>55</v>
      </c>
      <c r="H19" s="36">
        <f t="shared" si="4"/>
        <v>75000</v>
      </c>
      <c r="I19" s="36">
        <f t="shared" si="5"/>
        <v>4125000</v>
      </c>
    </row>
    <row r="20" spans="1:9">
      <c r="A20" s="21">
        <v>12</v>
      </c>
      <c r="B20" s="18" t="s">
        <v>17</v>
      </c>
      <c r="C20" s="11" t="str">
        <f t="shared" si="0"/>
        <v>Poso</v>
      </c>
      <c r="D20" s="22" t="str">
        <f t="shared" si="1"/>
        <v>9:15</v>
      </c>
      <c r="E20" s="23" t="str">
        <f t="shared" si="2"/>
        <v>Trans Sulawesi</v>
      </c>
      <c r="F20" s="11" t="str">
        <f t="shared" si="3"/>
        <v>Ekonomi</v>
      </c>
      <c r="G20" s="21">
        <v>55</v>
      </c>
      <c r="H20" s="36">
        <f t="shared" si="4"/>
        <v>75000</v>
      </c>
      <c r="I20" s="36">
        <f t="shared" si="5"/>
        <v>4125000</v>
      </c>
    </row>
    <row r="21" spans="1:9">
      <c r="A21" s="21">
        <v>13</v>
      </c>
      <c r="B21" s="18" t="s">
        <v>18</v>
      </c>
      <c r="C21" s="11" t="str">
        <f t="shared" si="0"/>
        <v>Tolitoli</v>
      </c>
      <c r="D21" s="22" t="str">
        <f t="shared" si="1"/>
        <v>19:00</v>
      </c>
      <c r="E21" s="23" t="str">
        <f t="shared" si="2"/>
        <v>Sinar Harapan</v>
      </c>
      <c r="F21" s="11" t="str">
        <f t="shared" si="3"/>
        <v>Ekonomi</v>
      </c>
      <c r="G21" s="21">
        <v>58</v>
      </c>
      <c r="H21" s="36">
        <f t="shared" si="4"/>
        <v>170000</v>
      </c>
      <c r="I21" s="36">
        <f t="shared" si="5"/>
        <v>9860000</v>
      </c>
    </row>
    <row r="22" spans="1:9" ht="15.75" thickBot="1">
      <c r="A22" s="24">
        <v>14</v>
      </c>
      <c r="B22" s="18" t="s">
        <v>69</v>
      </c>
      <c r="C22" s="25" t="str">
        <f t="shared" si="0"/>
        <v>Tolitoli</v>
      </c>
      <c r="D22" s="26" t="str">
        <f t="shared" si="1"/>
        <v>19:00</v>
      </c>
      <c r="E22" s="27" t="str">
        <f t="shared" si="2"/>
        <v>Trans Sulawesi</v>
      </c>
      <c r="F22" s="11" t="str">
        <f t="shared" si="3"/>
        <v>Ekonomi</v>
      </c>
      <c r="G22" s="24">
        <v>50</v>
      </c>
      <c r="H22" s="36">
        <f t="shared" si="4"/>
        <v>170000</v>
      </c>
      <c r="I22" s="36">
        <f t="shared" si="5"/>
        <v>8500000</v>
      </c>
    </row>
    <row r="23" spans="1:9" ht="15.75" thickBot="1">
      <c r="A23" s="67" t="s">
        <v>64</v>
      </c>
      <c r="B23" s="68"/>
      <c r="C23" s="68"/>
      <c r="D23" s="68"/>
      <c r="E23" s="68"/>
      <c r="F23" s="68"/>
      <c r="G23" s="68"/>
      <c r="H23" s="34"/>
      <c r="I23" s="37">
        <f>SUM(I9:I22)</f>
        <v>150310000</v>
      </c>
    </row>
    <row r="25" spans="1:9" ht="15.75">
      <c r="C25" s="69" t="s">
        <v>21</v>
      </c>
      <c r="D25" s="69"/>
      <c r="E25" s="69"/>
      <c r="G25" s="30"/>
      <c r="H25" s="30"/>
    </row>
    <row r="26" spans="1:9" ht="15.75" thickBot="1">
      <c r="G26" s="30"/>
      <c r="H26" s="30"/>
    </row>
    <row r="27" spans="1:9" ht="16.5" thickBot="1">
      <c r="C27" s="39" t="s">
        <v>22</v>
      </c>
      <c r="D27" s="40" t="s">
        <v>23</v>
      </c>
      <c r="E27" s="41" t="s">
        <v>24</v>
      </c>
      <c r="G27" s="35"/>
      <c r="H27" s="30"/>
    </row>
    <row r="28" spans="1:9">
      <c r="C28" s="18" t="s">
        <v>25</v>
      </c>
      <c r="D28" s="19">
        <f>COUNTIF($E$9:$E$22,"Lintas Sulawesi")</f>
        <v>4</v>
      </c>
      <c r="E28" s="36">
        <f>SUMIF($E$9:$E$22,"Lintas Sulawesi",$I$9:$I$22)</f>
        <v>34900000</v>
      </c>
      <c r="G28" s="42"/>
      <c r="H28" s="42"/>
      <c r="I28" s="42"/>
    </row>
    <row r="29" spans="1:9">
      <c r="C29" s="12" t="s">
        <v>26</v>
      </c>
      <c r="D29" s="11">
        <f>COUNTIF($E$9:$E$22,"Sinar Harapan")</f>
        <v>5</v>
      </c>
      <c r="E29" s="38">
        <f>SUMIF($E$9:$E$22,"Sinar Harapan",$I$9:$I$22)</f>
        <v>67160000</v>
      </c>
    </row>
    <row r="30" spans="1:9">
      <c r="C30" s="12" t="s">
        <v>27</v>
      </c>
      <c r="D30" s="11">
        <f>COUNTIF($E$9:$E$22,"Trans Sulawesi")</f>
        <v>5</v>
      </c>
      <c r="E30" s="38">
        <f>SUMIF($E$9:$E$22,"Trans Sulawesi",$I$9:$I$22)</f>
        <v>48250000</v>
      </c>
    </row>
    <row r="32" spans="1:9">
      <c r="A32" s="1" t="str">
        <f ca="1">CELL("filename")</f>
        <v>D:\PROJECT\[UTS-20930124.xlsx]Laporan</v>
      </c>
    </row>
    <row r="36" spans="1:8">
      <c r="A36" s="9" t="s">
        <v>28</v>
      </c>
      <c r="G36" s="9" t="s">
        <v>49</v>
      </c>
      <c r="H36" s="9"/>
    </row>
    <row r="38" spans="1:8">
      <c r="A38" s="60" t="s">
        <v>29</v>
      </c>
      <c r="B38" s="60" t="s">
        <v>30</v>
      </c>
      <c r="C38" s="61" t="s">
        <v>31</v>
      </c>
      <c r="D38" s="60" t="s">
        <v>32</v>
      </c>
      <c r="E38" s="60"/>
      <c r="G38" s="33" t="s">
        <v>29</v>
      </c>
      <c r="H38" s="33" t="s">
        <v>50</v>
      </c>
    </row>
    <row r="39" spans="1:8">
      <c r="A39" s="60"/>
      <c r="B39" s="60"/>
      <c r="C39" s="62"/>
      <c r="D39" s="33" t="s">
        <v>33</v>
      </c>
      <c r="E39" s="33" t="s">
        <v>34</v>
      </c>
      <c r="G39" s="11" t="s">
        <v>51</v>
      </c>
      <c r="H39" s="11" t="s">
        <v>53</v>
      </c>
    </row>
    <row r="40" spans="1:8">
      <c r="A40" s="14" t="s">
        <v>35</v>
      </c>
      <c r="B40" s="15" t="s">
        <v>42</v>
      </c>
      <c r="C40" s="16" t="s">
        <v>55</v>
      </c>
      <c r="D40" s="10">
        <v>300000</v>
      </c>
      <c r="E40" s="10">
        <v>270000</v>
      </c>
      <c r="G40" s="11" t="s">
        <v>52</v>
      </c>
      <c r="H40" s="11" t="s">
        <v>54</v>
      </c>
    </row>
    <row r="41" spans="1:8">
      <c r="A41" s="14" t="s">
        <v>36</v>
      </c>
      <c r="B41" s="15" t="s">
        <v>43</v>
      </c>
      <c r="C41" s="16" t="s">
        <v>56</v>
      </c>
      <c r="D41" s="10">
        <v>195000</v>
      </c>
      <c r="E41" s="10">
        <v>165000</v>
      </c>
    </row>
    <row r="42" spans="1:8">
      <c r="A42" s="14" t="s">
        <v>37</v>
      </c>
      <c r="B42" s="15" t="s">
        <v>44</v>
      </c>
      <c r="C42" s="16" t="s">
        <v>57</v>
      </c>
      <c r="D42" s="10">
        <v>225000</v>
      </c>
      <c r="E42" s="10">
        <v>195000</v>
      </c>
    </row>
    <row r="43" spans="1:8">
      <c r="A43" s="14" t="s">
        <v>38</v>
      </c>
      <c r="B43" s="15" t="s">
        <v>45</v>
      </c>
      <c r="C43" s="16" t="s">
        <v>58</v>
      </c>
      <c r="D43" s="10">
        <v>175000</v>
      </c>
      <c r="E43" s="10">
        <v>145000</v>
      </c>
    </row>
    <row r="44" spans="1:8">
      <c r="A44" s="14" t="s">
        <v>39</v>
      </c>
      <c r="B44" s="15" t="s">
        <v>46</v>
      </c>
      <c r="C44" s="16" t="s">
        <v>59</v>
      </c>
      <c r="D44" s="10">
        <v>300000</v>
      </c>
      <c r="E44" s="10">
        <v>270000</v>
      </c>
    </row>
    <row r="45" spans="1:8">
      <c r="A45" s="14" t="s">
        <v>40</v>
      </c>
      <c r="B45" s="15" t="s">
        <v>47</v>
      </c>
      <c r="C45" s="16" t="s">
        <v>60</v>
      </c>
      <c r="D45" s="10">
        <v>200000</v>
      </c>
      <c r="E45" s="10">
        <v>170000</v>
      </c>
    </row>
    <row r="46" spans="1:8">
      <c r="A46" s="14" t="s">
        <v>41</v>
      </c>
      <c r="B46" s="15" t="s">
        <v>48</v>
      </c>
      <c r="C46" s="16" t="s">
        <v>61</v>
      </c>
      <c r="D46" s="10">
        <v>100000</v>
      </c>
      <c r="E46" s="10">
        <v>75000</v>
      </c>
      <c r="G46" s="32"/>
    </row>
    <row r="49" spans="1:1">
      <c r="A49" s="9"/>
    </row>
    <row r="65" spans="1:1">
      <c r="A65" s="1" t="str">
        <f ca="1">CELL("filename")</f>
        <v>D:\PROJECT\[UTS-20930124.xlsx]Laporan</v>
      </c>
    </row>
  </sheetData>
  <sortState ref="A8:I23">
    <sortCondition descending="1" ref="C9"/>
  </sortState>
  <mergeCells count="10">
    <mergeCell ref="A38:A39"/>
    <mergeCell ref="B38:B39"/>
    <mergeCell ref="C38:C39"/>
    <mergeCell ref="D38:E38"/>
    <mergeCell ref="C1:I1"/>
    <mergeCell ref="C3:I3"/>
    <mergeCell ref="A5:I5"/>
    <mergeCell ref="A6:I6"/>
    <mergeCell ref="A23:G23"/>
    <mergeCell ref="C25:E25"/>
  </mergeCells>
  <pageMargins left="0.7" right="0.7" top="0.75" bottom="0.75" header="0.3" footer="0.3"/>
  <pageSetup paperSize="9" scale="90" orientation="landscape" horizontalDpi="4294967293" r:id="rId1"/>
  <headerFooter>
    <oddHeader>&amp;L&amp;"Arial,Regular"Nomor Stambuk : 20930124&amp;R&amp;"Arial,Regular"</oddHeader>
    <oddFooter>&amp;RHalaman : &amp;P dari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List!A1:A14</xm:f>
          </x14:formula1>
          <xm:sqref>B9:B22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tabSelected="1" view="pageLayout" topLeftCell="A34" zoomScale="120" zoomScaleNormal="110" zoomScalePageLayoutView="120" workbookViewId="0">
      <selection activeCell="A38" sqref="A38:A39"/>
    </sheetView>
  </sheetViews>
  <sheetFormatPr defaultRowHeight="15"/>
  <cols>
    <col min="1" max="1" width="8.28515625" style="1" customWidth="1"/>
    <col min="2" max="2" width="16.85546875" style="1" customWidth="1"/>
    <col min="3" max="3" width="15.5703125" style="1" customWidth="1"/>
    <col min="4" max="4" width="16" style="1" customWidth="1"/>
    <col min="5" max="5" width="21.5703125" style="1" customWidth="1"/>
    <col min="6" max="6" width="12" style="1" customWidth="1"/>
    <col min="7" max="7" width="14.5703125" style="1" customWidth="1"/>
    <col min="8" max="8" width="15.42578125" style="1" customWidth="1"/>
    <col min="9" max="9" width="18.140625" style="1" customWidth="1"/>
    <col min="10" max="10" width="19.5703125" style="1" customWidth="1"/>
    <col min="11" max="16384" width="9.140625" style="1"/>
  </cols>
  <sheetData>
    <row r="1" spans="1:9" ht="26.25">
      <c r="A1" s="55"/>
      <c r="B1" s="56"/>
      <c r="C1" s="70" t="s">
        <v>63</v>
      </c>
      <c r="D1" s="70"/>
      <c r="E1" s="70"/>
      <c r="F1" s="70"/>
      <c r="G1" s="70"/>
      <c r="H1" s="70"/>
      <c r="I1" s="70"/>
    </row>
    <row r="2" spans="1:9" ht="20.25">
      <c r="A2" s="55"/>
      <c r="B2" s="55"/>
      <c r="C2" s="57" t="s">
        <v>0</v>
      </c>
      <c r="D2" s="57"/>
      <c r="E2" s="57"/>
      <c r="F2" s="57"/>
      <c r="G2" s="57"/>
      <c r="H2" s="57"/>
      <c r="I2" s="57"/>
    </row>
    <row r="3" spans="1:9" ht="20.25">
      <c r="A3" s="55"/>
      <c r="B3" s="55"/>
      <c r="C3" s="71" t="s">
        <v>62</v>
      </c>
      <c r="D3" s="71"/>
      <c r="E3" s="71"/>
      <c r="F3" s="71"/>
      <c r="G3" s="71"/>
      <c r="H3" s="71"/>
      <c r="I3" s="71"/>
    </row>
    <row r="4" spans="1:9">
      <c r="A4" s="55"/>
      <c r="B4" s="55"/>
      <c r="C4" s="58"/>
      <c r="D4" s="58"/>
      <c r="E4" s="58"/>
      <c r="F4" s="58"/>
      <c r="G4" s="58"/>
      <c r="H4" s="58"/>
      <c r="I4" s="58"/>
    </row>
    <row r="5" spans="1:9" ht="15.75">
      <c r="A5" s="74" t="s">
        <v>4</v>
      </c>
      <c r="B5" s="74"/>
      <c r="C5" s="74"/>
      <c r="D5" s="74"/>
      <c r="E5" s="74"/>
      <c r="F5" s="74"/>
      <c r="G5" s="74"/>
      <c r="H5" s="74"/>
      <c r="I5" s="74"/>
    </row>
    <row r="6" spans="1:9">
      <c r="A6" s="75" t="s">
        <v>65</v>
      </c>
      <c r="B6" s="75"/>
      <c r="C6" s="75"/>
      <c r="D6" s="75"/>
      <c r="E6" s="75"/>
      <c r="F6" s="75"/>
      <c r="G6" s="75"/>
      <c r="H6" s="75"/>
      <c r="I6" s="75"/>
    </row>
    <row r="7" spans="1:9" ht="15.75" thickBot="1"/>
    <row r="8" spans="1:9" ht="48.75" customHeight="1" thickBot="1">
      <c r="A8" s="51" t="s">
        <v>1</v>
      </c>
      <c r="B8" s="52" t="s">
        <v>3</v>
      </c>
      <c r="C8" s="52" t="s">
        <v>5</v>
      </c>
      <c r="D8" s="52" t="s">
        <v>6</v>
      </c>
      <c r="E8" s="52" t="s">
        <v>7</v>
      </c>
      <c r="F8" s="52" t="s">
        <v>8</v>
      </c>
      <c r="G8" s="52" t="s">
        <v>9</v>
      </c>
      <c r="H8" s="53" t="s">
        <v>10</v>
      </c>
      <c r="I8" s="54" t="s">
        <v>2</v>
      </c>
    </row>
    <row r="9" spans="1:9">
      <c r="A9" s="43">
        <v>1</v>
      </c>
      <c r="B9" s="44" t="s">
        <v>67</v>
      </c>
      <c r="C9" s="79" t="str">
        <f>VLOOKUP(RIGHT(B9,2),$A$40:$E$46,2,FALSE)</f>
        <v>Kendari</v>
      </c>
      <c r="D9" s="80" t="str">
        <f>VLOOKUP(RIGHT(B9,2),$A$40:$E$46,3,FALSE)</f>
        <v>8:15</v>
      </c>
      <c r="E9" s="81" t="str">
        <f>IF(LEFT(B9,2)="SH","SINAR HARAPAN",IF(LEFT(B9,2)="TS","TRANS SULAWESI",IF(LEFT(B9,2)="LS","LINTAS SULAWESI",0)))</f>
        <v>SINAR HARAPAN</v>
      </c>
      <c r="F9" s="79" t="str">
        <f>VLOOKUP(MID(B9,4,2),$G$39:$H$40,2,FALSE)</f>
        <v>Executive</v>
      </c>
      <c r="G9" s="43">
        <v>60</v>
      </c>
      <c r="H9" s="83">
        <f>IF(F9="Executive",VLOOKUP(C9,$B$40:$E$46,3,FALSE),IF(F9="Ekonomi",VLOOKUP(C9,$B$40:$E$46,4,FALSE),0))</f>
        <v>300000</v>
      </c>
      <c r="I9" s="83">
        <f>G9*H9</f>
        <v>18000000</v>
      </c>
    </row>
    <row r="10" spans="1:9">
      <c r="A10" s="47">
        <v>2</v>
      </c>
      <c r="B10" s="44" t="s">
        <v>15</v>
      </c>
      <c r="C10" s="79" t="str">
        <f t="shared" ref="C10:C22" si="0">VLOOKUP(RIGHT(B10,2),$A$40:$E$46,2,FALSE)</f>
        <v>Kendari</v>
      </c>
      <c r="D10" s="80" t="str">
        <f t="shared" ref="D10:D22" si="1">VLOOKUP(RIGHT(B10,2),$A$40:$E$46,3,FALSE)</f>
        <v>8:15</v>
      </c>
      <c r="E10" s="81" t="str">
        <f t="shared" ref="E10:E22" si="2">IF(LEFT(B10,2)="SH","SINAR HARAPAN",IF(LEFT(B10,2)="TS","TRANS SULAWESI",IF(LEFT(B10,2)="LS","LINTAS SULAWESI",0)))</f>
        <v>TRANS SULAWESI</v>
      </c>
      <c r="F10" s="82" t="str">
        <f t="shared" ref="F10:F22" si="3">VLOOKUP(MID(B10,4,2),$G$39:$H$40,2,FALSE)</f>
        <v>Executive</v>
      </c>
      <c r="G10" s="47">
        <v>60</v>
      </c>
      <c r="H10" s="83">
        <f t="shared" ref="H10:H22" si="4">IF(F10="Executive",VLOOKUP(C10,$B$40:$E$46,3,FALSE),IF(F10="Ekonomi",VLOOKUP(C10,$B$40:$E$46,4,FALSE),0))</f>
        <v>300000</v>
      </c>
      <c r="I10" s="83">
        <f t="shared" ref="I10:I22" si="5">G10*H10</f>
        <v>18000000</v>
      </c>
    </row>
    <row r="11" spans="1:9">
      <c r="A11" s="47">
        <v>3</v>
      </c>
      <c r="B11" s="44" t="s">
        <v>68</v>
      </c>
      <c r="C11" s="79" t="str">
        <f t="shared" si="0"/>
        <v>Luwuk</v>
      </c>
      <c r="D11" s="80" t="str">
        <f t="shared" si="1"/>
        <v>20:05</v>
      </c>
      <c r="E11" s="81" t="str">
        <f t="shared" si="2"/>
        <v>SINAR HARAPAN</v>
      </c>
      <c r="F11" s="82" t="str">
        <f t="shared" si="3"/>
        <v>Executive</v>
      </c>
      <c r="G11" s="47">
        <v>40</v>
      </c>
      <c r="H11" s="83">
        <f t="shared" si="4"/>
        <v>195000</v>
      </c>
      <c r="I11" s="83">
        <f t="shared" si="5"/>
        <v>7800000</v>
      </c>
    </row>
    <row r="12" spans="1:9">
      <c r="A12" s="47">
        <v>4</v>
      </c>
      <c r="B12" s="44" t="s">
        <v>66</v>
      </c>
      <c r="C12" s="79" t="str">
        <f t="shared" si="0"/>
        <v>Luwuk</v>
      </c>
      <c r="D12" s="80" t="str">
        <f t="shared" si="1"/>
        <v>20:05</v>
      </c>
      <c r="E12" s="81" t="str">
        <f t="shared" si="2"/>
        <v>LINTAS SULAWESI</v>
      </c>
      <c r="F12" s="82" t="str">
        <f t="shared" si="3"/>
        <v>Executive</v>
      </c>
      <c r="G12" s="47">
        <v>45</v>
      </c>
      <c r="H12" s="83">
        <f t="shared" si="4"/>
        <v>195000</v>
      </c>
      <c r="I12" s="83">
        <f t="shared" si="5"/>
        <v>8775000</v>
      </c>
    </row>
    <row r="13" spans="1:9">
      <c r="A13" s="47">
        <v>5</v>
      </c>
      <c r="B13" s="44" t="s">
        <v>20</v>
      </c>
      <c r="C13" s="79" t="str">
        <f t="shared" si="0"/>
        <v>Luwuk</v>
      </c>
      <c r="D13" s="80" t="str">
        <f t="shared" si="1"/>
        <v>20:05</v>
      </c>
      <c r="E13" s="81" t="str">
        <f t="shared" si="2"/>
        <v>TRANS SULAWESI</v>
      </c>
      <c r="F13" s="82" t="str">
        <f t="shared" si="3"/>
        <v>Executive</v>
      </c>
      <c r="G13" s="47">
        <v>50</v>
      </c>
      <c r="H13" s="83">
        <f t="shared" si="4"/>
        <v>195000</v>
      </c>
      <c r="I13" s="83">
        <f t="shared" si="5"/>
        <v>9750000</v>
      </c>
    </row>
    <row r="14" spans="1:9">
      <c r="A14" s="47">
        <v>6</v>
      </c>
      <c r="B14" s="44" t="s">
        <v>11</v>
      </c>
      <c r="C14" s="79" t="str">
        <f t="shared" si="0"/>
        <v>Makassar</v>
      </c>
      <c r="D14" s="80" t="str">
        <f t="shared" si="1"/>
        <v>8:00</v>
      </c>
      <c r="E14" s="81" t="str">
        <f t="shared" si="2"/>
        <v>SINAR HARAPAN</v>
      </c>
      <c r="F14" s="82" t="str">
        <f t="shared" si="3"/>
        <v>Executive</v>
      </c>
      <c r="G14" s="47">
        <v>60</v>
      </c>
      <c r="H14" s="83">
        <f t="shared" si="4"/>
        <v>225000</v>
      </c>
      <c r="I14" s="83">
        <f t="shared" si="5"/>
        <v>13500000</v>
      </c>
    </row>
    <row r="15" spans="1:9">
      <c r="A15" s="47">
        <v>7</v>
      </c>
      <c r="B15" s="44" t="s">
        <v>19</v>
      </c>
      <c r="C15" s="79" t="str">
        <f t="shared" si="0"/>
        <v>Makassar</v>
      </c>
      <c r="D15" s="80" t="str">
        <f t="shared" si="1"/>
        <v>8:00</v>
      </c>
      <c r="E15" s="81" t="str">
        <f t="shared" si="2"/>
        <v>LINTAS SULAWESI</v>
      </c>
      <c r="F15" s="82" t="str">
        <f t="shared" si="3"/>
        <v>Executive</v>
      </c>
      <c r="G15" s="47">
        <v>55</v>
      </c>
      <c r="H15" s="83">
        <f t="shared" si="4"/>
        <v>225000</v>
      </c>
      <c r="I15" s="83">
        <f t="shared" si="5"/>
        <v>12375000</v>
      </c>
    </row>
    <row r="16" spans="1:9">
      <c r="A16" s="47">
        <v>8</v>
      </c>
      <c r="B16" s="44" t="s">
        <v>12</v>
      </c>
      <c r="C16" s="79" t="str">
        <f t="shared" si="0"/>
        <v>Manado</v>
      </c>
      <c r="D16" s="80" t="str">
        <f t="shared" si="1"/>
        <v>8:30</v>
      </c>
      <c r="E16" s="81" t="str">
        <f t="shared" si="2"/>
        <v>SINAR HARAPAN</v>
      </c>
      <c r="F16" s="82" t="str">
        <f t="shared" si="3"/>
        <v>Executive</v>
      </c>
      <c r="G16" s="47">
        <v>60</v>
      </c>
      <c r="H16" s="83">
        <f t="shared" si="4"/>
        <v>300000</v>
      </c>
      <c r="I16" s="83">
        <f t="shared" si="5"/>
        <v>18000000</v>
      </c>
    </row>
    <row r="17" spans="1:9">
      <c r="A17" s="47">
        <v>9</v>
      </c>
      <c r="B17" s="44" t="s">
        <v>13</v>
      </c>
      <c r="C17" s="79" t="str">
        <f t="shared" si="0"/>
        <v>Morowali</v>
      </c>
      <c r="D17" s="80" t="str">
        <f t="shared" si="1"/>
        <v>20:10</v>
      </c>
      <c r="E17" s="81" t="str">
        <f t="shared" si="2"/>
        <v>TRANS SULAWESI</v>
      </c>
      <c r="F17" s="82" t="str">
        <f t="shared" si="3"/>
        <v>Executive</v>
      </c>
      <c r="G17" s="47">
        <v>45</v>
      </c>
      <c r="H17" s="83">
        <f t="shared" si="4"/>
        <v>175000</v>
      </c>
      <c r="I17" s="83">
        <f t="shared" si="5"/>
        <v>7875000</v>
      </c>
    </row>
    <row r="18" spans="1:9">
      <c r="A18" s="47">
        <v>10</v>
      </c>
      <c r="B18" s="44" t="s">
        <v>14</v>
      </c>
      <c r="C18" s="79" t="str">
        <f t="shared" si="0"/>
        <v>Morowali</v>
      </c>
      <c r="D18" s="80" t="str">
        <f t="shared" si="1"/>
        <v>20:10</v>
      </c>
      <c r="E18" s="81" t="str">
        <f t="shared" si="2"/>
        <v>LINTAS SULAWESI</v>
      </c>
      <c r="F18" s="82" t="str">
        <f t="shared" si="3"/>
        <v>Executive</v>
      </c>
      <c r="G18" s="47">
        <v>55</v>
      </c>
      <c r="H18" s="83">
        <f t="shared" si="4"/>
        <v>175000</v>
      </c>
      <c r="I18" s="83">
        <f t="shared" si="5"/>
        <v>9625000</v>
      </c>
    </row>
    <row r="19" spans="1:9">
      <c r="A19" s="47">
        <v>11</v>
      </c>
      <c r="B19" s="44" t="s">
        <v>16</v>
      </c>
      <c r="C19" s="79" t="str">
        <f t="shared" si="0"/>
        <v>Poso</v>
      </c>
      <c r="D19" s="80" t="str">
        <f t="shared" si="1"/>
        <v>9:15</v>
      </c>
      <c r="E19" s="81" t="str">
        <f t="shared" si="2"/>
        <v>LINTAS SULAWESI</v>
      </c>
      <c r="F19" s="82" t="str">
        <f t="shared" si="3"/>
        <v>Ekonomi</v>
      </c>
      <c r="G19" s="47">
        <v>55</v>
      </c>
      <c r="H19" s="83">
        <f t="shared" si="4"/>
        <v>75000</v>
      </c>
      <c r="I19" s="83">
        <f t="shared" si="5"/>
        <v>4125000</v>
      </c>
    </row>
    <row r="20" spans="1:9">
      <c r="A20" s="47">
        <v>12</v>
      </c>
      <c r="B20" s="44" t="s">
        <v>17</v>
      </c>
      <c r="C20" s="79" t="str">
        <f t="shared" si="0"/>
        <v>Poso</v>
      </c>
      <c r="D20" s="80" t="str">
        <f t="shared" si="1"/>
        <v>9:15</v>
      </c>
      <c r="E20" s="81" t="str">
        <f t="shared" si="2"/>
        <v>TRANS SULAWESI</v>
      </c>
      <c r="F20" s="82" t="str">
        <f t="shared" si="3"/>
        <v>Ekonomi</v>
      </c>
      <c r="G20" s="47">
        <v>55</v>
      </c>
      <c r="H20" s="83">
        <f t="shared" si="4"/>
        <v>75000</v>
      </c>
      <c r="I20" s="83">
        <f t="shared" si="5"/>
        <v>4125000</v>
      </c>
    </row>
    <row r="21" spans="1:9">
      <c r="A21" s="47">
        <v>13</v>
      </c>
      <c r="B21" s="44" t="s">
        <v>18</v>
      </c>
      <c r="C21" s="79" t="str">
        <f t="shared" si="0"/>
        <v>Tolitoli</v>
      </c>
      <c r="D21" s="80" t="str">
        <f t="shared" si="1"/>
        <v>19:00</v>
      </c>
      <c r="E21" s="81" t="str">
        <f t="shared" si="2"/>
        <v>SINAR HARAPAN</v>
      </c>
      <c r="F21" s="82" t="str">
        <f t="shared" si="3"/>
        <v>Ekonomi</v>
      </c>
      <c r="G21" s="47">
        <v>58</v>
      </c>
      <c r="H21" s="83">
        <f t="shared" si="4"/>
        <v>170000</v>
      </c>
      <c r="I21" s="83">
        <f t="shared" si="5"/>
        <v>9860000</v>
      </c>
    </row>
    <row r="22" spans="1:9" ht="15.75" thickBot="1">
      <c r="A22" s="48">
        <v>14</v>
      </c>
      <c r="B22" s="44" t="s">
        <v>69</v>
      </c>
      <c r="C22" s="79" t="str">
        <f t="shared" si="0"/>
        <v>Tolitoli</v>
      </c>
      <c r="D22" s="80" t="str">
        <f t="shared" si="1"/>
        <v>19:00</v>
      </c>
      <c r="E22" s="81" t="str">
        <f t="shared" si="2"/>
        <v>TRANS SULAWESI</v>
      </c>
      <c r="F22" s="82" t="str">
        <f t="shared" si="3"/>
        <v>Ekonomi</v>
      </c>
      <c r="G22" s="48">
        <v>50</v>
      </c>
      <c r="H22" s="83">
        <f t="shared" si="4"/>
        <v>170000</v>
      </c>
      <c r="I22" s="83">
        <f t="shared" si="5"/>
        <v>8500000</v>
      </c>
    </row>
    <row r="23" spans="1:9" ht="16.5" thickBot="1">
      <c r="A23" s="72" t="s">
        <v>64</v>
      </c>
      <c r="B23" s="73"/>
      <c r="C23" s="73"/>
      <c r="D23" s="73"/>
      <c r="E23" s="73"/>
      <c r="F23" s="73"/>
      <c r="G23" s="73"/>
      <c r="H23" s="77"/>
      <c r="I23" s="78">
        <f>SUM(I9:I22)</f>
        <v>150310000</v>
      </c>
    </row>
    <row r="25" spans="1:9" ht="15.75">
      <c r="C25" s="69" t="s">
        <v>21</v>
      </c>
      <c r="D25" s="69"/>
      <c r="E25" s="69"/>
      <c r="G25" s="30"/>
      <c r="H25" s="30"/>
    </row>
    <row r="26" spans="1:9" ht="15.75" thickBot="1">
      <c r="G26" s="30"/>
      <c r="H26" s="30"/>
    </row>
    <row r="27" spans="1:9" ht="16.5" thickBot="1">
      <c r="C27" s="39" t="s">
        <v>22</v>
      </c>
      <c r="D27" s="40" t="s">
        <v>23</v>
      </c>
      <c r="E27" s="41" t="s">
        <v>24</v>
      </c>
      <c r="G27" s="35"/>
      <c r="H27" s="30"/>
    </row>
    <row r="28" spans="1:9">
      <c r="C28" s="44" t="s">
        <v>25</v>
      </c>
      <c r="D28" s="45">
        <f>COUNTIF($E$9:$E$22,C28)</f>
        <v>4</v>
      </c>
      <c r="E28" s="46">
        <f>SUMIF($E$9:$E$22,C28,$I$9:$I$22)</f>
        <v>34900000</v>
      </c>
      <c r="G28" s="42"/>
      <c r="H28" s="42"/>
      <c r="I28" s="42"/>
    </row>
    <row r="29" spans="1:9">
      <c r="C29" s="49" t="s">
        <v>26</v>
      </c>
      <c r="D29" s="45">
        <f>COUNTIF($E$9:$E$22,"Sinar Harapan")</f>
        <v>5</v>
      </c>
      <c r="E29" s="46">
        <f t="shared" ref="E29:E30" si="6">SUMIF($E$9:$E$22,C29,$I$9:$I$22)</f>
        <v>67160000</v>
      </c>
    </row>
    <row r="30" spans="1:9">
      <c r="C30" s="49" t="s">
        <v>27</v>
      </c>
      <c r="D30" s="45">
        <f t="shared" ref="D30" si="7">COUNTIF($E$9:$E$22,C30)</f>
        <v>5</v>
      </c>
      <c r="E30" s="46">
        <f t="shared" si="6"/>
        <v>48250000</v>
      </c>
    </row>
    <row r="31" spans="1:9">
      <c r="E31" s="59"/>
    </row>
    <row r="32" spans="1:9">
      <c r="A32" s="1" t="str">
        <f ca="1">CELL("filename")</f>
        <v>D:\PROJECT\[UTS-20930124.xlsx]Laporan</v>
      </c>
    </row>
    <row r="36" spans="1:8">
      <c r="A36" s="9" t="s">
        <v>28</v>
      </c>
      <c r="G36" s="9" t="s">
        <v>49</v>
      </c>
      <c r="H36" s="9"/>
    </row>
    <row r="38" spans="1:8">
      <c r="A38" s="60" t="s">
        <v>29</v>
      </c>
      <c r="B38" s="60" t="s">
        <v>30</v>
      </c>
      <c r="C38" s="61" t="s">
        <v>31</v>
      </c>
      <c r="D38" s="60" t="s">
        <v>32</v>
      </c>
      <c r="E38" s="60"/>
      <c r="G38" s="13" t="s">
        <v>29</v>
      </c>
      <c r="H38" s="29" t="s">
        <v>50</v>
      </c>
    </row>
    <row r="39" spans="1:8">
      <c r="A39" s="60"/>
      <c r="B39" s="60"/>
      <c r="C39" s="62"/>
      <c r="D39" s="3" t="s">
        <v>33</v>
      </c>
      <c r="E39" s="3" t="s">
        <v>34</v>
      </c>
      <c r="G39" s="11" t="s">
        <v>51</v>
      </c>
      <c r="H39" s="11" t="s">
        <v>53</v>
      </c>
    </row>
    <row r="40" spans="1:8">
      <c r="A40" s="14" t="s">
        <v>35</v>
      </c>
      <c r="B40" s="15" t="s">
        <v>42</v>
      </c>
      <c r="C40" s="16" t="s">
        <v>55</v>
      </c>
      <c r="D40" s="10">
        <v>300000</v>
      </c>
      <c r="E40" s="10">
        <v>270000</v>
      </c>
      <c r="G40" s="11" t="s">
        <v>52</v>
      </c>
      <c r="H40" s="11" t="s">
        <v>54</v>
      </c>
    </row>
    <row r="41" spans="1:8">
      <c r="A41" s="14" t="s">
        <v>36</v>
      </c>
      <c r="B41" s="15" t="s">
        <v>43</v>
      </c>
      <c r="C41" s="16" t="s">
        <v>56</v>
      </c>
      <c r="D41" s="10">
        <v>195000</v>
      </c>
      <c r="E41" s="10">
        <v>165000</v>
      </c>
    </row>
    <row r="42" spans="1:8">
      <c r="A42" s="14" t="s">
        <v>37</v>
      </c>
      <c r="B42" s="15" t="s">
        <v>44</v>
      </c>
      <c r="C42" s="16" t="s">
        <v>57</v>
      </c>
      <c r="D42" s="10">
        <v>225000</v>
      </c>
      <c r="E42" s="10">
        <v>195000</v>
      </c>
    </row>
    <row r="43" spans="1:8">
      <c r="A43" s="14" t="s">
        <v>38</v>
      </c>
      <c r="B43" s="15" t="s">
        <v>45</v>
      </c>
      <c r="C43" s="16" t="s">
        <v>58</v>
      </c>
      <c r="D43" s="10">
        <v>175000</v>
      </c>
      <c r="E43" s="10">
        <v>145000</v>
      </c>
    </row>
    <row r="44" spans="1:8">
      <c r="A44" s="14" t="s">
        <v>39</v>
      </c>
      <c r="B44" s="15" t="s">
        <v>46</v>
      </c>
      <c r="C44" s="16" t="s">
        <v>59</v>
      </c>
      <c r="D44" s="10">
        <v>300000</v>
      </c>
      <c r="E44" s="10">
        <v>270000</v>
      </c>
    </row>
    <row r="45" spans="1:8">
      <c r="A45" s="14" t="s">
        <v>40</v>
      </c>
      <c r="B45" s="15" t="s">
        <v>47</v>
      </c>
      <c r="C45" s="16" t="s">
        <v>60</v>
      </c>
      <c r="D45" s="10">
        <v>200000</v>
      </c>
      <c r="E45" s="10">
        <v>170000</v>
      </c>
    </row>
    <row r="46" spans="1:8">
      <c r="A46" s="14" t="s">
        <v>41</v>
      </c>
      <c r="B46" s="15" t="s">
        <v>48</v>
      </c>
      <c r="C46" s="16" t="s">
        <v>61</v>
      </c>
      <c r="D46" s="10">
        <v>100000</v>
      </c>
      <c r="E46" s="10">
        <v>75000</v>
      </c>
      <c r="G46" s="32"/>
    </row>
    <row r="49" spans="1:1">
      <c r="A49" s="9"/>
    </row>
    <row r="65" spans="1:1">
      <c r="A65" s="1" t="str">
        <f ca="1">CELL("filename")</f>
        <v>D:\PROJECT\[UTS-20930124.xlsx]Laporan</v>
      </c>
    </row>
  </sheetData>
  <mergeCells count="10">
    <mergeCell ref="A38:A39"/>
    <mergeCell ref="B38:B39"/>
    <mergeCell ref="C38:C39"/>
    <mergeCell ref="D38:E38"/>
    <mergeCell ref="C1:I1"/>
    <mergeCell ref="C3:I3"/>
    <mergeCell ref="A23:G23"/>
    <mergeCell ref="A5:I5"/>
    <mergeCell ref="A6:I6"/>
    <mergeCell ref="C25:E25"/>
  </mergeCells>
  <pageMargins left="0.7" right="0.7" top="0.75" bottom="0.75" header="0.3" footer="0.3"/>
  <pageSetup paperSize="9" scale="90" orientation="landscape" horizontalDpi="4294967293" r:id="rId1"/>
  <headerFooter>
    <oddHeader>&amp;L&amp;"Arial,Regular"&amp;12Nomor Stambuk : &amp;R&amp;"Arial,Regular"&amp;12Ujian Tengah Semester</oddHeader>
    <oddFooter>&amp;RHalaman : &amp;P dari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List!A1:A14</xm:f>
          </x14:formula1>
          <xm:sqref>B9:B22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4:J17"/>
  <sheetViews>
    <sheetView workbookViewId="0">
      <selection activeCell="A15" sqref="A15"/>
    </sheetView>
  </sheetViews>
  <sheetFormatPr defaultRowHeight="15"/>
  <cols>
    <col min="1" max="1" width="7.85546875" bestFit="1" customWidth="1"/>
    <col min="2" max="2" width="14.140625" customWidth="1"/>
    <col min="3" max="3" width="15.7109375" customWidth="1"/>
    <col min="4" max="5" width="16.7109375" customWidth="1"/>
    <col min="8" max="8" width="7.85546875" bestFit="1" customWidth="1"/>
    <col min="9" max="9" width="11.7109375" bestFit="1" customWidth="1"/>
  </cols>
  <sheetData>
    <row r="4" spans="1:10">
      <c r="A4" s="28" t="s">
        <v>28</v>
      </c>
      <c r="B4" s="28"/>
      <c r="C4" s="28"/>
      <c r="D4" s="28"/>
      <c r="E4" s="28"/>
      <c r="F4" s="28"/>
      <c r="G4" s="28"/>
      <c r="H4" s="76" t="s">
        <v>49</v>
      </c>
      <c r="I4" s="76"/>
      <c r="J4" s="28"/>
    </row>
    <row r="5" spans="1:10" ht="15.75">
      <c r="A5" s="1"/>
      <c r="B5" s="1"/>
      <c r="C5" s="1"/>
      <c r="D5" s="1"/>
      <c r="E5" s="1"/>
      <c r="H5" s="1"/>
      <c r="I5" s="1"/>
    </row>
    <row r="6" spans="1:10">
      <c r="A6" s="60" t="s">
        <v>29</v>
      </c>
      <c r="B6" s="61" t="s">
        <v>30</v>
      </c>
      <c r="C6" s="61" t="s">
        <v>31</v>
      </c>
      <c r="D6" s="60" t="s">
        <v>32</v>
      </c>
      <c r="E6" s="60"/>
      <c r="H6" s="13" t="s">
        <v>29</v>
      </c>
      <c r="I6" s="13" t="s">
        <v>50</v>
      </c>
    </row>
    <row r="7" spans="1:10">
      <c r="A7" s="60"/>
      <c r="B7" s="62"/>
      <c r="C7" s="62"/>
      <c r="D7" s="13" t="s">
        <v>33</v>
      </c>
      <c r="E7" s="13" t="s">
        <v>34</v>
      </c>
      <c r="H7" s="11" t="s">
        <v>51</v>
      </c>
      <c r="I7" s="11" t="s">
        <v>53</v>
      </c>
    </row>
    <row r="8" spans="1:10">
      <c r="A8" s="14" t="s">
        <v>35</v>
      </c>
      <c r="B8" s="11" t="s">
        <v>42</v>
      </c>
      <c r="C8" s="16" t="s">
        <v>55</v>
      </c>
      <c r="D8" s="10">
        <v>300000</v>
      </c>
      <c r="E8" s="10">
        <v>270000</v>
      </c>
      <c r="H8" s="11" t="s">
        <v>52</v>
      </c>
      <c r="I8" s="11" t="s">
        <v>54</v>
      </c>
    </row>
    <row r="9" spans="1:10">
      <c r="A9" s="14" t="s">
        <v>36</v>
      </c>
      <c r="B9" s="11" t="s">
        <v>43</v>
      </c>
      <c r="C9" s="16" t="s">
        <v>56</v>
      </c>
      <c r="D9" s="10">
        <v>195000</v>
      </c>
      <c r="E9" s="10">
        <v>165000</v>
      </c>
    </row>
    <row r="10" spans="1:10">
      <c r="A10" s="14" t="s">
        <v>37</v>
      </c>
      <c r="B10" s="11" t="s">
        <v>44</v>
      </c>
      <c r="C10" s="16" t="s">
        <v>57</v>
      </c>
      <c r="D10" s="10">
        <v>225000</v>
      </c>
      <c r="E10" s="10">
        <v>195000</v>
      </c>
    </row>
    <row r="11" spans="1:10">
      <c r="A11" s="14" t="s">
        <v>38</v>
      </c>
      <c r="B11" s="11" t="s">
        <v>45</v>
      </c>
      <c r="C11" s="16" t="s">
        <v>58</v>
      </c>
      <c r="D11" s="10">
        <v>175000</v>
      </c>
      <c r="E11" s="10">
        <v>145000</v>
      </c>
    </row>
    <row r="12" spans="1:10">
      <c r="A12" s="14" t="s">
        <v>39</v>
      </c>
      <c r="B12" s="11" t="s">
        <v>46</v>
      </c>
      <c r="C12" s="16" t="s">
        <v>59</v>
      </c>
      <c r="D12" s="10">
        <v>300000</v>
      </c>
      <c r="E12" s="10">
        <v>270000</v>
      </c>
    </row>
    <row r="13" spans="1:10">
      <c r="A13" s="14" t="s">
        <v>40</v>
      </c>
      <c r="B13" s="11" t="s">
        <v>47</v>
      </c>
      <c r="C13" s="16" t="s">
        <v>60</v>
      </c>
      <c r="D13" s="10">
        <v>200000</v>
      </c>
      <c r="E13" s="10">
        <v>170000</v>
      </c>
    </row>
    <row r="14" spans="1:10">
      <c r="A14" s="14" t="s">
        <v>41</v>
      </c>
      <c r="B14" s="11" t="s">
        <v>48</v>
      </c>
      <c r="C14" s="16" t="s">
        <v>61</v>
      </c>
      <c r="D14" s="10">
        <v>100000</v>
      </c>
      <c r="E14" s="10">
        <v>75000</v>
      </c>
    </row>
    <row r="17" spans="3:3">
      <c r="C17" s="35"/>
    </row>
  </sheetData>
  <sortState ref="B17:B30">
    <sortCondition ref="B17"/>
  </sortState>
  <mergeCells count="5">
    <mergeCell ref="A6:A7"/>
    <mergeCell ref="B6:B7"/>
    <mergeCell ref="C6:C7"/>
    <mergeCell ref="D6:E6"/>
    <mergeCell ref="H4:I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30"/>
  <sheetViews>
    <sheetView view="pageLayout" zoomScaleNormal="90" workbookViewId="0">
      <selection activeCell="A31" sqref="A31"/>
    </sheetView>
  </sheetViews>
  <sheetFormatPr defaultRowHeight="15"/>
  <cols>
    <col min="1" max="1" width="10.42578125" bestFit="1" customWidth="1"/>
  </cols>
  <sheetData>
    <row r="30" spans="1:1">
      <c r="A30" s="50" t="str">
        <f ca="1">CELL("filename")</f>
        <v>D:\PROJECT\[UTS-20930124.xlsx]Laporan</v>
      </c>
    </row>
  </sheetData>
  <pageMargins left="0.7" right="0.7" top="0.75" bottom="0.75" header="0.3" footer="0.3"/>
  <pageSetup paperSize="9" orientation="landscape" horizontalDpi="4294967293" r:id="rId1"/>
  <headerFooter>
    <oddHeader>&amp;L&amp;"Arial,Regular"&amp;12Nomor Stambuk : 20930124&amp;R&amp;"Arial,Regular"&amp;12Ujian Tengah Semester</oddHeader>
    <oddFooter>&amp;RHalaman : &amp;P dari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4"/>
  <sheetViews>
    <sheetView workbookViewId="0">
      <selection activeCell="F18" sqref="F18"/>
    </sheetView>
  </sheetViews>
  <sheetFormatPr defaultRowHeight="15"/>
  <cols>
    <col min="1" max="1" width="12.7109375" bestFit="1" customWidth="1"/>
  </cols>
  <sheetData>
    <row r="1" spans="1:1">
      <c r="A1" s="35" t="s">
        <v>16</v>
      </c>
    </row>
    <row r="2" spans="1:1">
      <c r="A2" s="35" t="s">
        <v>66</v>
      </c>
    </row>
    <row r="3" spans="1:1">
      <c r="A3" s="35" t="s">
        <v>19</v>
      </c>
    </row>
    <row r="4" spans="1:1">
      <c r="A4" s="35" t="s">
        <v>14</v>
      </c>
    </row>
    <row r="5" spans="1:1">
      <c r="A5" s="35" t="s">
        <v>18</v>
      </c>
    </row>
    <row r="6" spans="1:1">
      <c r="A6" s="35" t="s">
        <v>12</v>
      </c>
    </row>
    <row r="7" spans="1:1">
      <c r="A7" s="35" t="s">
        <v>68</v>
      </c>
    </row>
    <row r="8" spans="1:1">
      <c r="A8" s="35" t="s">
        <v>11</v>
      </c>
    </row>
    <row r="9" spans="1:1">
      <c r="A9" s="35" t="s">
        <v>67</v>
      </c>
    </row>
    <row r="10" spans="1:1">
      <c r="A10" s="35" t="s">
        <v>69</v>
      </c>
    </row>
    <row r="11" spans="1:1">
      <c r="A11" s="35" t="s">
        <v>17</v>
      </c>
    </row>
    <row r="12" spans="1:1">
      <c r="A12" s="35" t="s">
        <v>20</v>
      </c>
    </row>
    <row r="13" spans="1:1">
      <c r="A13" s="35" t="s">
        <v>13</v>
      </c>
    </row>
    <row r="14" spans="1:1">
      <c r="A14" s="35" t="s">
        <v>15</v>
      </c>
    </row>
  </sheetData>
  <sortState ref="A1:A14">
    <sortCondition ref="A1:A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Sort</vt:lpstr>
      <vt:lpstr>Laporan</vt:lpstr>
      <vt:lpstr>Tabel Bantu</vt:lpstr>
      <vt:lpstr>Grafik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saraswati</cp:lastModifiedBy>
  <cp:lastPrinted>2014-10-13T04:08:02Z</cp:lastPrinted>
  <dcterms:created xsi:type="dcterms:W3CDTF">2014-10-08T12:12:08Z</dcterms:created>
  <dcterms:modified xsi:type="dcterms:W3CDTF">2015-03-22T05:32:01Z</dcterms:modified>
</cp:coreProperties>
</file>